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yaksich\Desktop\"/>
    </mc:Choice>
  </mc:AlternateContent>
  <bookViews>
    <workbookView xWindow="0" yWindow="0" windowWidth="28800" windowHeight="12210"/>
  </bookViews>
  <sheets>
    <sheet name="Packaging calculator" sheetId="3" r:id="rId1"/>
    <sheet name="Inventory Planner" sheetId="2" r:id="rId2"/>
    <sheet name="Meals per bag" sheetId="5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3" l="1"/>
  <c r="B59" i="3" l="1"/>
  <c r="C20" i="3" s="1"/>
  <c r="B60" i="3"/>
  <c r="C30" i="3" s="1"/>
  <c r="E30" i="3" s="1"/>
  <c r="H30" i="3" s="1"/>
  <c r="B61" i="3"/>
  <c r="C47" i="3" s="1"/>
  <c r="D55" i="3"/>
  <c r="B5" i="5"/>
  <c r="D5" i="5"/>
  <c r="C31" i="3"/>
  <c r="G31" i="3" s="1"/>
  <c r="B10" i="3"/>
  <c r="B11" i="3" s="1"/>
  <c r="B8" i="5"/>
  <c r="B7" i="5"/>
  <c r="B6" i="5"/>
  <c r="D6" i="5"/>
  <c r="D8" i="5"/>
  <c r="D7" i="5"/>
  <c r="B23" i="3"/>
  <c r="H3" i="2"/>
  <c r="H4" i="2"/>
  <c r="I5" i="2"/>
  <c r="J6" i="2"/>
  <c r="H9" i="2"/>
  <c r="I10" i="2"/>
  <c r="B62" i="3"/>
  <c r="E7" i="5" l="1"/>
  <c r="F7" i="5" s="1"/>
  <c r="E8" i="5"/>
  <c r="F8" i="5" s="1"/>
  <c r="E6" i="5"/>
  <c r="F6" i="5" s="1"/>
  <c r="B9" i="5"/>
  <c r="E5" i="5"/>
  <c r="F5" i="5" s="1"/>
  <c r="C46" i="3"/>
  <c r="C32" i="3" s="1"/>
  <c r="D32" i="3" s="1"/>
  <c r="B75" i="3" s="1"/>
  <c r="C21" i="3"/>
  <c r="G21" i="3" s="1"/>
  <c r="C45" i="3"/>
  <c r="D45" i="3" s="1"/>
  <c r="B74" i="3"/>
  <c r="D47" i="3"/>
  <c r="C33" i="3"/>
  <c r="D33" i="3" s="1"/>
  <c r="B76" i="3" s="1"/>
  <c r="C22" i="3"/>
  <c r="E22" i="3" s="1"/>
  <c r="H22" i="3" s="1"/>
  <c r="C19" i="3"/>
  <c r="C29" i="3"/>
  <c r="F29" i="3" s="1"/>
  <c r="H29" i="3" s="1"/>
  <c r="G20" i="3"/>
  <c r="D20" i="3"/>
  <c r="B73" i="3"/>
  <c r="C44" i="3"/>
  <c r="D44" i="3" s="1"/>
  <c r="D46" i="3" l="1"/>
  <c r="C23" i="3"/>
  <c r="F21" i="3"/>
  <c r="H21" i="3" s="1"/>
  <c r="B71" i="3"/>
  <c r="C40" i="3"/>
  <c r="D40" i="3" s="1"/>
  <c r="G19" i="3"/>
  <c r="D19" i="3"/>
  <c r="C43" i="3"/>
  <c r="D43" i="3" s="1"/>
  <c r="G22" i="3"/>
  <c r="B72" i="3"/>
  <c r="H20" i="3"/>
  <c r="C38" i="3"/>
  <c r="D38" i="3" s="1"/>
  <c r="B69" i="3"/>
  <c r="D48" i="3" l="1"/>
  <c r="G23" i="3"/>
  <c r="B70" i="3"/>
  <c r="C39" i="3"/>
  <c r="D39" i="3" s="1"/>
  <c r="C37" i="3"/>
  <c r="D37" i="3" s="1"/>
  <c r="H19" i="3"/>
  <c r="B68" i="3"/>
  <c r="B77" i="3" s="1"/>
  <c r="B81" i="3" s="1"/>
  <c r="D41" i="3" l="1"/>
  <c r="D50" i="3" s="1"/>
  <c r="D52" i="3" s="1"/>
</calcChain>
</file>

<file path=xl/sharedStrings.xml><?xml version="1.0" encoding="utf-8"?>
<sst xmlns="http://schemas.openxmlformats.org/spreadsheetml/2006/main" count="151" uniqueCount="102">
  <si>
    <t>No. bags</t>
  </si>
  <si>
    <t>No. cartons</t>
  </si>
  <si>
    <t>Unit conversion</t>
  </si>
  <si>
    <t>Bag Ingredients</t>
  </si>
  <si>
    <t>Lbs</t>
  </si>
  <si>
    <t>Tons</t>
  </si>
  <si>
    <t>50 lbs bags</t>
  </si>
  <si>
    <t>Boxes of bags</t>
  </si>
  <si>
    <t>Ingredient order quantities</t>
  </si>
  <si>
    <t>Cartons</t>
  </si>
  <si>
    <t>Pallets</t>
  </si>
  <si>
    <t>Ingredients inventory</t>
  </si>
  <si>
    <t>Packing and shipping inventory</t>
  </si>
  <si>
    <t>Bundles of cartons</t>
  </si>
  <si>
    <t>No. Pallets</t>
  </si>
  <si>
    <t>Bags</t>
  </si>
  <si>
    <t>Month of:</t>
  </si>
  <si>
    <t xml:space="preserve">Inventory in stock (a) </t>
  </si>
  <si>
    <t>Step 2: Enter the inventory you will need to complete your projected packaging schedule for the upcoming month (b)</t>
  </si>
  <si>
    <t xml:space="preserve">Inventory Required for Next Months Packaging Schedule (b) </t>
  </si>
  <si>
    <t>Inventory to order (c)</t>
  </si>
  <si>
    <t>Step 3: Worksheet calculates how much inventory you should order for the upcoming month (c)</t>
  </si>
  <si>
    <t>Step 1: Enter actual inventory counted in stock at end of month (a)</t>
  </si>
  <si>
    <t>No. servings packaged:</t>
  </si>
  <si>
    <t>No. cargo containers</t>
  </si>
  <si>
    <t>Count</t>
  </si>
  <si>
    <t>No. of volunteers per shift</t>
  </si>
  <si>
    <t>No. of hours per shift</t>
  </si>
  <si>
    <t>No. of shifts</t>
  </si>
  <si>
    <t>Total volunteer hours</t>
  </si>
  <si>
    <t>Standard low rate:</t>
  </si>
  <si>
    <t>Standard high rate:</t>
  </si>
  <si>
    <t>Standard avg rate:</t>
  </si>
  <si>
    <t>150 per volunteer hour</t>
  </si>
  <si>
    <t>Unit Price</t>
  </si>
  <si>
    <t>Cost</t>
  </si>
  <si>
    <t>Supplies</t>
  </si>
  <si>
    <t>No.</t>
  </si>
  <si>
    <t>Total Cost Ingredients &amp; Supplies</t>
  </si>
  <si>
    <t>Hairnets</t>
  </si>
  <si>
    <t>Tape</t>
  </si>
  <si>
    <t>No. in unit</t>
  </si>
  <si>
    <t>Lbs this packaging</t>
  </si>
  <si>
    <t>No. used in this packaging</t>
  </si>
  <si>
    <t>Total supplies cost</t>
  </si>
  <si>
    <t>Step 1: Enter your assumptions for your packaging event into lines 2, 3, 4 and 5. Worksheet calculates the total volunteer hours.</t>
  </si>
  <si>
    <t>Soy</t>
  </si>
  <si>
    <t>Rice</t>
  </si>
  <si>
    <t>Vegetables</t>
  </si>
  <si>
    <t>50 lbs boxes</t>
  </si>
  <si>
    <t>Vitamin/mineral powder</t>
  </si>
  <si>
    <r>
      <t xml:space="preserve">Total cost per meal </t>
    </r>
    <r>
      <rPr>
        <sz val="10"/>
        <rFont val="Arial"/>
      </rPr>
      <t>(</t>
    </r>
    <r>
      <rPr>
        <i/>
        <u/>
        <sz val="10"/>
        <rFont val="Arial"/>
        <family val="2"/>
      </rPr>
      <t>without</t>
    </r>
    <r>
      <rPr>
        <sz val="10"/>
        <rFont val="Arial"/>
      </rPr>
      <t xml:space="preserve"> waste, labor, inventory freight, finished goods transportation, and overhead)</t>
    </r>
  </si>
  <si>
    <t>Stretch wrap</t>
  </si>
  <si>
    <t>Bundles</t>
  </si>
  <si>
    <t>Boxes</t>
  </si>
  <si>
    <t>40 lbs boxes</t>
  </si>
  <si>
    <t>50 lbs 
bags</t>
  </si>
  <si>
    <t>Packaging tape</t>
  </si>
  <si>
    <r>
      <rPr>
        <sz val="14"/>
        <color indexed="10"/>
        <rFont val="Arial"/>
        <family val="2"/>
      </rPr>
      <t xml:space="preserve">* </t>
    </r>
    <r>
      <rPr>
        <sz val="10"/>
        <rFont val="Arial"/>
      </rPr>
      <t>meals per volunteer hour experience</t>
    </r>
  </si>
  <si>
    <r>
      <t xml:space="preserve">Oz per bag </t>
    </r>
    <r>
      <rPr>
        <sz val="14"/>
        <color indexed="10"/>
        <rFont val="Arial"/>
        <family val="2"/>
      </rPr>
      <t>**</t>
    </r>
  </si>
  <si>
    <t>No. of servings packaged</t>
  </si>
  <si>
    <t>200 per volunteer hour</t>
  </si>
  <si>
    <t>250 per volunteer hour</t>
  </si>
  <si>
    <r>
      <t xml:space="preserve">Meals per vol. hr standard </t>
    </r>
    <r>
      <rPr>
        <sz val="14"/>
        <color indexed="10"/>
        <rFont val="Arial"/>
        <family val="2"/>
      </rPr>
      <t xml:space="preserve">* </t>
    </r>
  </si>
  <si>
    <t>Step 2: Worksheet calculates the total volunteer hours &amp; no. of servings packaged below.</t>
  </si>
  <si>
    <t>Step 3: Worksheet calculates number of servings you can package given the assumptions in Step 1 &amp; 2.</t>
  </si>
  <si>
    <t>Step 6: Worksheet converts servings to other units of measurement for storage and shipping purposes.</t>
  </si>
  <si>
    <t>Total ingredient cost</t>
  </si>
  <si>
    <t>Total weight 
(in lbs)</t>
  </si>
  <si>
    <t>Enter number of wooden pallets</t>
  </si>
  <si>
    <t>Step 7: Worksheet calculates total weight for shipping purposes.</t>
  </si>
  <si>
    <t>No. pallets of packaged food</t>
  </si>
  <si>
    <t>Enter value from B8.</t>
  </si>
  <si>
    <t xml:space="preserve">How many meals do I get out of a bag/box of ingredients?            </t>
  </si>
  <si>
    <t>Oz of ingredient per bag of food</t>
  </si>
  <si>
    <t>Ingredient bag
/box size (in lbs.)</t>
  </si>
  <si>
    <t>Makes this many bags of food per ingredient bag/box</t>
  </si>
  <si>
    <t>Makes this many meals per ingredient bag/box</t>
  </si>
  <si>
    <t>Bag/box 
Ingredients</t>
  </si>
  <si>
    <t>meals per bag of rice</t>
  </si>
  <si>
    <t>meals per bag of soy</t>
  </si>
  <si>
    <t>meals per box of vitamins</t>
  </si>
  <si>
    <t>meals per box of vegetables</t>
  </si>
  <si>
    <t>Ingredient bag
/box size (converted to oz.)</t>
  </si>
  <si>
    <r>
      <rPr>
        <sz val="14"/>
        <color indexed="10"/>
        <rFont val="Arial"/>
        <family val="2"/>
      </rPr>
      <t>**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These measurements do not equal the "standard amount" of ingredient per bag of food. They reflect the high end of a weight range to ensure you have sufficient ingredients available to achieve the desired number of meals.</t>
    </r>
  </si>
  <si>
    <r>
      <t xml:space="preserve">Per lb Unit Price </t>
    </r>
    <r>
      <rPr>
        <sz val="14"/>
        <color indexed="10"/>
        <rFont val="Arial"/>
        <family val="2"/>
      </rPr>
      <t>***</t>
    </r>
  </si>
  <si>
    <r>
      <rPr>
        <sz val="14"/>
        <color indexed="10"/>
        <rFont val="Arial"/>
        <family val="2"/>
      </rPr>
      <t>***</t>
    </r>
    <r>
      <rPr>
        <sz val="10"/>
        <rFont val="Arial"/>
      </rPr>
      <t xml:space="preserve"> </t>
    </r>
    <r>
      <rPr>
        <i/>
        <sz val="8"/>
        <rFont val="Arial"/>
        <family val="2"/>
      </rPr>
      <t>Pricing current as of 03/17/2011. Subject to change.</t>
    </r>
  </si>
  <si>
    <t>Pieces</t>
  </si>
  <si>
    <t>Total weight (in lbs)</t>
  </si>
  <si>
    <t>Supplies order quantities</t>
  </si>
  <si>
    <t>(rounded up to next full box/bag/item)</t>
  </si>
  <si>
    <t>Kids Against Hunger Food Packaging Calculator</t>
  </si>
  <si>
    <t>(only cells highlighted in green can be edited)</t>
  </si>
  <si>
    <t>2,000/box</t>
  </si>
  <si>
    <t>15/bundle</t>
  </si>
  <si>
    <t>100/box</t>
  </si>
  <si>
    <t>based on 98 boxes/roll</t>
  </si>
  <si>
    <t>based on 10 pallets/roll</t>
  </si>
  <si>
    <r>
      <t xml:space="preserve">Step 5: Worksheet calculates the cost for ingredients and </t>
    </r>
    <r>
      <rPr>
        <b/>
        <i/>
        <sz val="10"/>
        <color indexed="12"/>
        <rFont val="Arial"/>
        <family val="2"/>
      </rPr>
      <t>supplies for this many servings packaged (volumes rounded up to next full unit as in Step 5) - not including shipping of supplies to your location.</t>
    </r>
  </si>
  <si>
    <t>Step 4: Worksheet calculates the order quantities for this many servings packaged (order quantities rounded up to next full unit).</t>
  </si>
  <si>
    <r>
      <t xml:space="preserve">Total cost to produce </t>
    </r>
    <r>
      <rPr>
        <sz val="10"/>
        <rFont val="Arial"/>
      </rPr>
      <t>(with</t>
    </r>
    <r>
      <rPr>
        <b/>
        <sz val="10"/>
        <rFont val="Arial"/>
        <family val="2"/>
      </rPr>
      <t xml:space="preserve"> </t>
    </r>
    <r>
      <rPr>
        <sz val="10"/>
        <rFont val="Arial"/>
      </rPr>
      <t>waste, inventory freight, finished goods transportation within U.S., and overhead @ 25¢ per meal)</t>
    </r>
  </si>
  <si>
    <t>It is not recommended to base your fundraising efforts for packaging events on $0.09 per meal. It will not cover all program expenses. Use a program cost of $0.25/meal.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</si>
</sst>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&quot;$&quot;#,##0.00"/>
    <numFmt numFmtId="168" formatCode="&quot;$&quot;#,##0.000"/>
    <numFmt numFmtId="169" formatCode="_(&quot;$&quot;* #,##0.000_);_(&quot;$&quot;* \(#,##0.000\);_(&quot;$&quot;* &quot;-&quot;???_);_(@_)"/>
    <numFmt numFmtId="170" formatCode="_(&quot;$&quot;* #,##0.0000_);_(&quot;$&quot;* \(#,##0.0000\);_(&quot;$&quot;* &quot;-&quot;????_);_(@_)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62"/>
      <name val="Arial"/>
      <family val="2"/>
    </font>
    <font>
      <i/>
      <sz val="8"/>
      <color indexed="62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4" fontId="4" fillId="0" borderId="0" xfId="1" applyNumberFormat="1" applyFont="1"/>
    <xf numFmtId="0" fontId="7" fillId="0" borderId="0" xfId="0" applyFont="1" applyBorder="1" applyAlignment="1"/>
    <xf numFmtId="0" fontId="5" fillId="0" borderId="0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center"/>
    </xf>
    <xf numFmtId="3" fontId="4" fillId="2" borderId="1" xfId="0" applyNumberFormat="1" applyFont="1" applyFill="1" applyBorder="1"/>
    <xf numFmtId="165" fontId="4" fillId="0" borderId="1" xfId="1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3" fontId="4" fillId="0" borderId="0" xfId="1" applyNumberFormat="1" applyFont="1" applyBorder="1" applyAlignment="1">
      <alignment horizontal="center"/>
    </xf>
    <xf numFmtId="39" fontId="6" fillId="0" borderId="0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168" fontId="6" fillId="0" borderId="0" xfId="0" applyNumberFormat="1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165" fontId="6" fillId="0" borderId="1" xfId="0" applyNumberFormat="1" applyFont="1" applyBorder="1"/>
    <xf numFmtId="0" fontId="4" fillId="0" borderId="1" xfId="0" applyFont="1" applyFill="1" applyBorder="1"/>
    <xf numFmtId="2" fontId="4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2" fontId="7" fillId="3" borderId="1" xfId="0" applyNumberFormat="1" applyFont="1" applyFill="1" applyBorder="1"/>
    <xf numFmtId="3" fontId="4" fillId="3" borderId="1" xfId="1" applyNumberFormat="1" applyFont="1" applyFill="1" applyBorder="1" applyAlignment="1">
      <alignment horizontal="center"/>
    </xf>
    <xf numFmtId="3" fontId="4" fillId="4" borderId="1" xfId="0" applyNumberFormat="1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3" borderId="0" xfId="0" applyFont="1" applyFill="1"/>
    <xf numFmtId="0" fontId="7" fillId="3" borderId="0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2" fontId="4" fillId="3" borderId="1" xfId="0" applyNumberFormat="1" applyFont="1" applyFill="1" applyBorder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3" borderId="0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3" borderId="1" xfId="0" applyFont="1" applyFill="1" applyBorder="1"/>
    <xf numFmtId="169" fontId="4" fillId="3" borderId="1" xfId="2" applyNumberFormat="1" applyFont="1" applyFill="1" applyBorder="1"/>
    <xf numFmtId="44" fontId="4" fillId="3" borderId="1" xfId="2" applyFont="1" applyFill="1" applyBorder="1"/>
    <xf numFmtId="44" fontId="6" fillId="0" borderId="1" xfId="2" applyFont="1" applyFill="1" applyBorder="1" applyAlignment="1">
      <alignment horizontal="center"/>
    </xf>
    <xf numFmtId="44" fontId="6" fillId="0" borderId="1" xfId="2" applyFont="1" applyBorder="1" applyAlignment="1">
      <alignment horizontal="center"/>
    </xf>
    <xf numFmtId="44" fontId="6" fillId="0" borderId="2" xfId="2" applyFont="1" applyBorder="1" applyAlignment="1">
      <alignment horizontal="center"/>
    </xf>
    <xf numFmtId="44" fontId="6" fillId="3" borderId="1" xfId="2" applyFont="1" applyFill="1" applyBorder="1" applyAlignment="1">
      <alignment horizontal="center"/>
    </xf>
    <xf numFmtId="44" fontId="6" fillId="0" borderId="0" xfId="2" applyFont="1" applyBorder="1" applyAlignment="1">
      <alignment horizontal="center"/>
    </xf>
    <xf numFmtId="44" fontId="6" fillId="3" borderId="0" xfId="2" applyFont="1" applyFill="1" applyBorder="1" applyAlignment="1">
      <alignment horizontal="center"/>
    </xf>
    <xf numFmtId="44" fontId="6" fillId="0" borderId="0" xfId="2" applyFont="1" applyFill="1" applyBorder="1"/>
    <xf numFmtId="44" fontId="6" fillId="0" borderId="1" xfId="2" applyFont="1" applyFill="1" applyBorder="1"/>
    <xf numFmtId="44" fontId="7" fillId="3" borderId="3" xfId="2" applyFont="1" applyFill="1" applyBorder="1" applyAlignment="1">
      <alignment horizontal="center" wrapText="1"/>
    </xf>
    <xf numFmtId="44" fontId="6" fillId="3" borderId="4" xfId="2" applyFont="1" applyFill="1" applyBorder="1" applyAlignment="1">
      <alignment horizontal="center"/>
    </xf>
    <xf numFmtId="0" fontId="4" fillId="3" borderId="2" xfId="0" applyFont="1" applyFill="1" applyBorder="1"/>
    <xf numFmtId="44" fontId="4" fillId="3" borderId="2" xfId="2" applyFont="1" applyFill="1" applyBorder="1"/>
    <xf numFmtId="3" fontId="4" fillId="3" borderId="2" xfId="1" applyNumberFormat="1" applyFont="1" applyFill="1" applyBorder="1" applyAlignment="1">
      <alignment horizontal="center"/>
    </xf>
    <xf numFmtId="44" fontId="6" fillId="3" borderId="2" xfId="2" applyFont="1" applyFill="1" applyBorder="1" applyAlignment="1">
      <alignment horizontal="center"/>
    </xf>
    <xf numFmtId="44" fontId="5" fillId="3" borderId="4" xfId="2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0" fillId="5" borderId="1" xfId="0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3" fillId="0" borderId="0" xfId="0" applyFont="1" applyFill="1" applyBorder="1"/>
    <xf numFmtId="0" fontId="14" fillId="0" borderId="0" xfId="0" applyFont="1"/>
    <xf numFmtId="0" fontId="7" fillId="0" borderId="5" xfId="0" applyFont="1" applyBorder="1"/>
    <xf numFmtId="3" fontId="7" fillId="0" borderId="4" xfId="0" applyNumberFormat="1" applyFont="1" applyBorder="1"/>
    <xf numFmtId="14" fontId="2" fillId="0" borderId="0" xfId="0" applyNumberFormat="1" applyFont="1"/>
    <xf numFmtId="0" fontId="7" fillId="0" borderId="6" xfId="0" applyFont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4" fillId="0" borderId="7" xfId="0" applyFont="1" applyBorder="1"/>
    <xf numFmtId="2" fontId="4" fillId="0" borderId="8" xfId="0" applyNumberFormat="1" applyFont="1" applyBorder="1"/>
    <xf numFmtId="0" fontId="0" fillId="0" borderId="8" xfId="0" applyBorder="1"/>
    <xf numFmtId="3" fontId="0" fillId="6" borderId="9" xfId="0" applyNumberFormat="1" applyFill="1" applyBorder="1"/>
    <xf numFmtId="0" fontId="4" fillId="0" borderId="10" xfId="0" applyFont="1" applyBorder="1"/>
    <xf numFmtId="2" fontId="4" fillId="0" borderId="1" xfId="0" applyNumberFormat="1" applyFont="1" applyBorder="1"/>
    <xf numFmtId="0" fontId="0" fillId="0" borderId="1" xfId="0" applyBorder="1"/>
    <xf numFmtId="3" fontId="0" fillId="6" borderId="11" xfId="0" applyNumberFormat="1" applyFill="1" applyBorder="1"/>
    <xf numFmtId="0" fontId="4" fillId="0" borderId="12" xfId="0" applyFont="1" applyBorder="1"/>
    <xf numFmtId="2" fontId="4" fillId="0" borderId="13" xfId="0" applyNumberFormat="1" applyFont="1" applyBorder="1"/>
    <xf numFmtId="0" fontId="0" fillId="0" borderId="13" xfId="0" applyBorder="1"/>
    <xf numFmtId="3" fontId="0" fillId="6" borderId="14" xfId="0" applyNumberFormat="1" applyFill="1" applyBorder="1"/>
    <xf numFmtId="0" fontId="7" fillId="0" borderId="3" xfId="0" applyFont="1" applyBorder="1" applyAlignment="1">
      <alignment horizontal="right"/>
    </xf>
    <xf numFmtId="2" fontId="7" fillId="0" borderId="3" xfId="0" applyNumberFormat="1" applyFont="1" applyBorder="1"/>
    <xf numFmtId="0" fontId="7" fillId="0" borderId="5" xfId="0" applyFont="1" applyBorder="1" applyAlignment="1">
      <alignment horizontal="center" wrapText="1"/>
    </xf>
    <xf numFmtId="0" fontId="0" fillId="0" borderId="0" xfId="0" applyBorder="1"/>
    <xf numFmtId="3" fontId="0" fillId="0" borderId="8" xfId="0" applyNumberFormat="1" applyBorder="1"/>
    <xf numFmtId="3" fontId="0" fillId="0" borderId="1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0" fontId="4" fillId="0" borderId="16" xfId="0" applyFont="1" applyBorder="1"/>
    <xf numFmtId="0" fontId="0" fillId="0" borderId="15" xfId="0" applyBorder="1"/>
    <xf numFmtId="170" fontId="4" fillId="3" borderId="1" xfId="2" applyNumberFormat="1" applyFont="1" applyFill="1" applyBorder="1"/>
    <xf numFmtId="167" fontId="4" fillId="0" borderId="17" xfId="0" applyNumberFormat="1" applyFont="1" applyBorder="1" applyAlignment="1">
      <alignment vertical="center" wrapText="1"/>
    </xf>
    <xf numFmtId="167" fontId="4" fillId="0" borderId="0" xfId="0" applyNumberFormat="1" applyFont="1" applyAlignment="1">
      <alignment vertical="center" wrapText="1"/>
    </xf>
    <xf numFmtId="166" fontId="4" fillId="0" borderId="0" xfId="0" applyNumberFormat="1" applyFont="1"/>
    <xf numFmtId="0" fontId="11" fillId="0" borderId="0" xfId="0" applyFont="1"/>
    <xf numFmtId="3" fontId="6" fillId="0" borderId="1" xfId="0" applyNumberFormat="1" applyFont="1" applyBorder="1" applyAlignment="1">
      <alignment horizontal="center"/>
    </xf>
    <xf numFmtId="0" fontId="4" fillId="3" borderId="18" xfId="0" applyFont="1" applyFill="1" applyBorder="1"/>
    <xf numFmtId="0" fontId="4" fillId="0" borderId="0" xfId="0" applyFont="1" applyProtection="1"/>
    <xf numFmtId="0" fontId="7" fillId="0" borderId="1" xfId="0" applyFont="1" applyBorder="1" applyAlignment="1" applyProtection="1">
      <alignment wrapText="1"/>
    </xf>
    <xf numFmtId="0" fontId="4" fillId="0" borderId="1" xfId="0" applyFont="1" applyFill="1" applyBorder="1" applyProtection="1"/>
    <xf numFmtId="3" fontId="4" fillId="0" borderId="1" xfId="0" applyNumberFormat="1" applyFont="1" applyBorder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3" borderId="1" xfId="0" applyFont="1" applyFill="1" applyBorder="1" applyProtection="1"/>
    <xf numFmtId="3" fontId="7" fillId="0" borderId="1" xfId="0" applyNumberFormat="1" applyFont="1" applyBorder="1" applyProtection="1"/>
    <xf numFmtId="0" fontId="4" fillId="7" borderId="1" xfId="0" applyFont="1" applyFill="1" applyBorder="1" applyProtection="1">
      <protection locked="0"/>
    </xf>
    <xf numFmtId="0" fontId="4" fillId="7" borderId="19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horizontal="center" wrapText="1"/>
      <protection locked="0"/>
    </xf>
    <xf numFmtId="0" fontId="10" fillId="8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center" wrapText="1"/>
    </xf>
    <xf numFmtId="164" fontId="18" fillId="7" borderId="19" xfId="1" applyNumberFormat="1" applyFont="1" applyFill="1" applyBorder="1" applyProtection="1">
      <protection locked="0"/>
    </xf>
    <xf numFmtId="0" fontId="12" fillId="0" borderId="0" xfId="0" applyFont="1"/>
    <xf numFmtId="3" fontId="19" fillId="3" borderId="1" xfId="1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7" fontId="6" fillId="3" borderId="1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7" fillId="3" borderId="20" xfId="0" applyFont="1" applyFill="1" applyBorder="1" applyAlignment="1">
      <alignment horizontal="right"/>
    </xf>
    <xf numFmtId="0" fontId="7" fillId="3" borderId="21" xfId="0" applyFont="1" applyFill="1" applyBorder="1" applyAlignment="1">
      <alignment horizontal="right"/>
    </xf>
    <xf numFmtId="0" fontId="7" fillId="3" borderId="22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0" borderId="18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167" fontId="4" fillId="0" borderId="17" xfId="0" applyNumberFormat="1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21" fillId="0" borderId="25" xfId="0" applyFont="1" applyBorder="1" applyAlignment="1" applyProtection="1">
      <alignment horizontal="right"/>
    </xf>
    <xf numFmtId="0" fontId="21" fillId="0" borderId="26" xfId="0" applyFont="1" applyBorder="1" applyAlignment="1" applyProtection="1">
      <alignment horizontal="right"/>
    </xf>
    <xf numFmtId="0" fontId="17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8" borderId="18" xfId="0" applyFont="1" applyFill="1" applyBorder="1" applyAlignment="1" applyProtection="1">
      <alignment horizontal="center" wrapText="1"/>
      <protection locked="0"/>
    </xf>
    <xf numFmtId="0" fontId="13" fillId="8" borderId="23" xfId="0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81"/>
  <sheetViews>
    <sheetView tabSelected="1" workbookViewId="0">
      <selection activeCell="A48" sqref="A48:C48"/>
    </sheetView>
  </sheetViews>
  <sheetFormatPr defaultColWidth="8.85546875" defaultRowHeight="12.75" x14ac:dyDescent="0.2"/>
  <cols>
    <col min="1" max="1" width="33" style="1" customWidth="1"/>
    <col min="2" max="2" width="13.42578125" style="1" customWidth="1"/>
    <col min="3" max="3" width="10.7109375" style="1" customWidth="1"/>
    <col min="4" max="4" width="15.5703125" style="1" customWidth="1"/>
    <col min="5" max="5" width="8.42578125" style="1" customWidth="1"/>
    <col min="6" max="6" width="8.140625" style="1" customWidth="1"/>
    <col min="7" max="7" width="8.42578125" style="1" customWidth="1"/>
    <col min="8" max="8" width="7.28515625" style="1" customWidth="1"/>
    <col min="9" max="9" width="14" style="1" customWidth="1"/>
    <col min="10" max="16384" width="8.85546875" style="1"/>
  </cols>
  <sheetData>
    <row r="1" spans="1:256" ht="18" x14ac:dyDescent="0.25">
      <c r="A1" s="144" t="s">
        <v>91</v>
      </c>
      <c r="B1" s="144"/>
      <c r="C1" s="144"/>
      <c r="D1" s="144"/>
      <c r="E1" s="144"/>
      <c r="F1" s="144"/>
      <c r="G1" s="144"/>
      <c r="H1" s="144"/>
    </row>
    <row r="2" spans="1:256" x14ac:dyDescent="0.2">
      <c r="A2" s="145" t="s">
        <v>92</v>
      </c>
      <c r="B2" s="145"/>
      <c r="C2" s="145"/>
      <c r="D2" s="145"/>
      <c r="E2" s="145"/>
      <c r="F2" s="145"/>
      <c r="G2" s="145"/>
      <c r="H2" s="145"/>
    </row>
    <row r="4" spans="1:256" ht="38.25" customHeight="1" x14ac:dyDescent="0.2">
      <c r="A4" s="126" t="s">
        <v>45</v>
      </c>
      <c r="B4" s="126"/>
      <c r="C4" s="126"/>
      <c r="D4" s="126"/>
      <c r="E4" s="126"/>
      <c r="F4" s="126"/>
      <c r="G4" s="126"/>
      <c r="H4" s="126"/>
      <c r="I4" s="35"/>
      <c r="J4" s="35"/>
      <c r="K4" s="35"/>
      <c r="L4" s="35"/>
    </row>
    <row r="5" spans="1:256" ht="16.5" customHeight="1" x14ac:dyDescent="0.25">
      <c r="A5" s="1" t="s">
        <v>26</v>
      </c>
      <c r="B5" s="114">
        <v>25</v>
      </c>
      <c r="D5" s="146" t="s">
        <v>58</v>
      </c>
      <c r="E5" s="146"/>
      <c r="F5" s="146"/>
      <c r="G5" s="146"/>
      <c r="H5" s="146"/>
      <c r="J5" s="38"/>
    </row>
    <row r="6" spans="1:256" x14ac:dyDescent="0.2">
      <c r="A6" s="1" t="s">
        <v>27</v>
      </c>
      <c r="B6" s="114">
        <v>2</v>
      </c>
      <c r="D6" s="39" t="s">
        <v>30</v>
      </c>
      <c r="E6" s="39"/>
      <c r="F6" s="146" t="s">
        <v>33</v>
      </c>
      <c r="G6" s="146"/>
      <c r="H6" s="146"/>
      <c r="J6" s="38"/>
    </row>
    <row r="7" spans="1:256" x14ac:dyDescent="0.2">
      <c r="A7" s="1" t="s">
        <v>28</v>
      </c>
      <c r="B7" s="114">
        <v>1</v>
      </c>
      <c r="D7" s="39" t="s">
        <v>32</v>
      </c>
      <c r="E7" s="39"/>
      <c r="F7" s="146" t="s">
        <v>61</v>
      </c>
      <c r="G7" s="146"/>
      <c r="H7" s="146"/>
      <c r="J7" s="38"/>
    </row>
    <row r="8" spans="1:256" ht="15.75" customHeight="1" x14ac:dyDescent="0.25">
      <c r="A8" s="40" t="s">
        <v>63</v>
      </c>
      <c r="B8" s="114">
        <v>200</v>
      </c>
      <c r="D8" s="39" t="s">
        <v>31</v>
      </c>
      <c r="E8" s="39"/>
      <c r="F8" s="146" t="s">
        <v>62</v>
      </c>
      <c r="G8" s="146"/>
      <c r="H8" s="146"/>
      <c r="J8" s="38"/>
    </row>
    <row r="9" spans="1:256" s="15" customFormat="1" ht="24" customHeight="1" x14ac:dyDescent="0.2">
      <c r="A9" s="126" t="s">
        <v>64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spans="1:256" x14ac:dyDescent="0.2">
      <c r="A10" s="1" t="s">
        <v>29</v>
      </c>
      <c r="B10" s="3">
        <f>(B5*B6)*B7</f>
        <v>50</v>
      </c>
    </row>
    <row r="11" spans="1:256" x14ac:dyDescent="0.2">
      <c r="A11" s="34" t="s">
        <v>60</v>
      </c>
      <c r="B11" s="3">
        <f>B8*B10</f>
        <v>10000</v>
      </c>
    </row>
    <row r="13" spans="1:256" ht="26.25" customHeight="1" thickBot="1" x14ac:dyDescent="0.25">
      <c r="A13" s="141" t="s">
        <v>65</v>
      </c>
      <c r="B13" s="141"/>
      <c r="C13" s="141"/>
      <c r="D13" s="141"/>
      <c r="E13" s="141"/>
      <c r="F13" s="141"/>
      <c r="G13" s="141"/>
      <c r="H13" s="141"/>
      <c r="J13" s="41"/>
      <c r="K13" s="41"/>
      <c r="L13" s="41"/>
      <c r="M13" s="41"/>
      <c r="N13" s="41"/>
      <c r="O13" s="41"/>
      <c r="P13" s="41"/>
    </row>
    <row r="14" spans="1:256" ht="24" customHeight="1" thickBot="1" x14ac:dyDescent="0.3">
      <c r="A14" s="120" t="s">
        <v>23</v>
      </c>
      <c r="B14" s="121">
        <v>25000</v>
      </c>
      <c r="C14" s="147" t="s">
        <v>72</v>
      </c>
      <c r="D14" s="148"/>
      <c r="E14" s="148"/>
      <c r="F14" s="148"/>
      <c r="G14" s="148"/>
      <c r="H14" s="148"/>
    </row>
    <row r="15" spans="1:256" x14ac:dyDescent="0.2">
      <c r="A15" s="5"/>
      <c r="B15" s="6"/>
    </row>
    <row r="16" spans="1:256" ht="31.5" customHeight="1" x14ac:dyDescent="0.2">
      <c r="A16" s="126" t="s">
        <v>99</v>
      </c>
      <c r="B16" s="141"/>
      <c r="C16" s="141"/>
      <c r="D16" s="141"/>
      <c r="E16" s="141"/>
      <c r="F16" s="141"/>
      <c r="G16" s="141"/>
      <c r="H16" s="141"/>
    </row>
    <row r="17" spans="1:9" x14ac:dyDescent="0.2">
      <c r="C17" s="7"/>
      <c r="D17" s="135" t="s">
        <v>8</v>
      </c>
      <c r="E17" s="135"/>
      <c r="F17" s="135"/>
      <c r="G17" s="135"/>
      <c r="H17" s="135"/>
      <c r="I17" s="8"/>
    </row>
    <row r="18" spans="1:9" ht="30.75" x14ac:dyDescent="0.25">
      <c r="A18" s="9" t="s">
        <v>3</v>
      </c>
      <c r="B18" s="10" t="s">
        <v>59</v>
      </c>
      <c r="C18" s="10" t="s">
        <v>42</v>
      </c>
      <c r="D18" s="4" t="s">
        <v>56</v>
      </c>
      <c r="E18" s="4" t="s">
        <v>55</v>
      </c>
      <c r="F18" s="4" t="s">
        <v>49</v>
      </c>
      <c r="G18" s="4" t="s">
        <v>5</v>
      </c>
      <c r="H18" s="4" t="s">
        <v>10</v>
      </c>
    </row>
    <row r="19" spans="1:9" x14ac:dyDescent="0.2">
      <c r="A19" s="2" t="s">
        <v>47</v>
      </c>
      <c r="B19" s="37">
        <v>9.17</v>
      </c>
      <c r="C19" s="11">
        <f>(B59*B19)/16</f>
        <v>2388.0208333333335</v>
      </c>
      <c r="D19" s="104">
        <f>ROUNDUP(C19/50,0)</f>
        <v>48</v>
      </c>
      <c r="E19" s="12"/>
      <c r="F19" s="12"/>
      <c r="G19" s="13">
        <f>C19/2000</f>
        <v>1.1940104166666667</v>
      </c>
      <c r="H19" s="14">
        <f>D19/42</f>
        <v>1.1428571428571428</v>
      </c>
      <c r="I19" s="102"/>
    </row>
    <row r="20" spans="1:9" x14ac:dyDescent="0.2">
      <c r="A20" s="2" t="s">
        <v>46</v>
      </c>
      <c r="B20" s="37">
        <v>3.9</v>
      </c>
      <c r="C20" s="11">
        <f>(B59*B20)/16</f>
        <v>1015.625</v>
      </c>
      <c r="D20" s="104">
        <f>ROUNDUP(C20/50,0)</f>
        <v>21</v>
      </c>
      <c r="E20" s="12"/>
      <c r="F20" s="12"/>
      <c r="G20" s="13">
        <f>C20/2000</f>
        <v>0.5078125</v>
      </c>
      <c r="H20" s="14">
        <f>D20/39</f>
        <v>0.53846153846153844</v>
      </c>
      <c r="I20" s="102"/>
    </row>
    <row r="21" spans="1:9" x14ac:dyDescent="0.2">
      <c r="A21" s="16" t="s">
        <v>50</v>
      </c>
      <c r="B21" s="37">
        <v>0.71</v>
      </c>
      <c r="C21" s="11">
        <f>(B59*B21)/16</f>
        <v>184.89583333333334</v>
      </c>
      <c r="D21" s="12"/>
      <c r="E21" s="12"/>
      <c r="F21" s="104">
        <f>ROUNDUP(C21/50,0)</f>
        <v>4</v>
      </c>
      <c r="G21" s="13">
        <f>C21/2000</f>
        <v>9.2447916666666671E-2</v>
      </c>
      <c r="H21" s="26">
        <f>F21/36</f>
        <v>0.1111111111111111</v>
      </c>
      <c r="I21" s="102"/>
    </row>
    <row r="22" spans="1:9" x14ac:dyDescent="0.2">
      <c r="A22" s="2" t="s">
        <v>48</v>
      </c>
      <c r="B22" s="37">
        <v>0.38</v>
      </c>
      <c r="C22" s="11">
        <f>(B59*B22)/16</f>
        <v>98.958333333333343</v>
      </c>
      <c r="D22" s="12"/>
      <c r="E22" s="104">
        <f>ROUNDUP(C22/40,0)</f>
        <v>3</v>
      </c>
      <c r="F22" s="12"/>
      <c r="G22" s="13">
        <f>C22/2000</f>
        <v>4.9479166666666671E-2</v>
      </c>
      <c r="H22" s="26">
        <f>E22/25</f>
        <v>0.12</v>
      </c>
      <c r="I22" s="102"/>
    </row>
    <row r="23" spans="1:9" s="32" customFormat="1" x14ac:dyDescent="0.2">
      <c r="A23" s="27"/>
      <c r="B23" s="28">
        <f>SUM(B19:B22)</f>
        <v>14.160000000000002</v>
      </c>
      <c r="C23" s="29">
        <f>SUM(C19:C22)</f>
        <v>3687.5000000000005</v>
      </c>
      <c r="D23" s="30"/>
      <c r="E23" s="30"/>
      <c r="F23" s="30"/>
      <c r="G23" s="31">
        <f>SUM(G19:G22)</f>
        <v>1.8437500000000002</v>
      </c>
      <c r="H23" s="30"/>
    </row>
    <row r="25" spans="1:9" ht="27.75" customHeight="1" x14ac:dyDescent="0.2">
      <c r="A25" s="149" t="s">
        <v>84</v>
      </c>
      <c r="B25" s="150"/>
      <c r="C25" s="150"/>
      <c r="D25" s="150"/>
      <c r="E25" s="150"/>
      <c r="F25" s="150"/>
      <c r="G25" s="150"/>
      <c r="H25" s="150"/>
    </row>
    <row r="27" spans="1:9" x14ac:dyDescent="0.2">
      <c r="C27" s="7"/>
      <c r="D27" s="135" t="s">
        <v>89</v>
      </c>
      <c r="E27" s="135"/>
      <c r="F27" s="135"/>
      <c r="G27" s="135"/>
      <c r="H27" s="135"/>
      <c r="I27" s="8"/>
    </row>
    <row r="28" spans="1:9" ht="38.25" x14ac:dyDescent="0.2">
      <c r="A28" s="9" t="s">
        <v>36</v>
      </c>
      <c r="B28" s="10" t="s">
        <v>41</v>
      </c>
      <c r="C28" s="10" t="s">
        <v>43</v>
      </c>
      <c r="D28" s="4" t="s">
        <v>87</v>
      </c>
      <c r="E28" s="4" t="s">
        <v>53</v>
      </c>
      <c r="F28" s="4" t="s">
        <v>54</v>
      </c>
      <c r="G28" s="4" t="s">
        <v>54</v>
      </c>
      <c r="H28" s="4" t="s">
        <v>10</v>
      </c>
    </row>
    <row r="29" spans="1:9" x14ac:dyDescent="0.2">
      <c r="A29" s="2" t="s">
        <v>15</v>
      </c>
      <c r="B29" s="11" t="s">
        <v>93</v>
      </c>
      <c r="C29" s="11">
        <f>B59</f>
        <v>4166.666666666667</v>
      </c>
      <c r="D29" s="12"/>
      <c r="E29" s="12"/>
      <c r="F29" s="104">
        <f>ROUNDUP(C29/2000,0)</f>
        <v>3</v>
      </c>
      <c r="G29" s="12"/>
      <c r="H29" s="14">
        <f>F29/40</f>
        <v>7.4999999999999997E-2</v>
      </c>
    </row>
    <row r="30" spans="1:9" x14ac:dyDescent="0.2">
      <c r="A30" s="2" t="s">
        <v>9</v>
      </c>
      <c r="B30" s="11" t="s">
        <v>94</v>
      </c>
      <c r="C30" s="11">
        <f>B60</f>
        <v>115.74074074074075</v>
      </c>
      <c r="D30" s="12"/>
      <c r="E30" s="104">
        <f>ROUNDUP(C30/15,0)</f>
        <v>8</v>
      </c>
      <c r="F30" s="12"/>
      <c r="G30" s="12"/>
      <c r="H30" s="14">
        <f>E30/24</f>
        <v>0.33333333333333331</v>
      </c>
    </row>
    <row r="31" spans="1:9" x14ac:dyDescent="0.2">
      <c r="A31" s="45" t="s">
        <v>39</v>
      </c>
      <c r="B31" s="11" t="s">
        <v>95</v>
      </c>
      <c r="C31" s="11">
        <f>B5*B7</f>
        <v>25</v>
      </c>
      <c r="D31" s="12"/>
      <c r="E31" s="12"/>
      <c r="F31" s="12"/>
      <c r="G31" s="104">
        <f>ROUNDUP(C31/100,0)</f>
        <v>1</v>
      </c>
      <c r="H31" s="12"/>
    </row>
    <row r="32" spans="1:9" x14ac:dyDescent="0.2">
      <c r="A32" s="2" t="s">
        <v>57</v>
      </c>
      <c r="B32" s="29">
        <v>1</v>
      </c>
      <c r="C32" s="123">
        <f>ROUNDUP(C46,0)</f>
        <v>2</v>
      </c>
      <c r="D32" s="124">
        <f>ROUNDUP(C32,0)</f>
        <v>2</v>
      </c>
      <c r="E32" s="12"/>
      <c r="F32" s="12"/>
      <c r="G32" s="12"/>
      <c r="H32" s="12"/>
    </row>
    <row r="33" spans="1:8" x14ac:dyDescent="0.2">
      <c r="A33" s="25" t="s">
        <v>52</v>
      </c>
      <c r="B33" s="29">
        <v>1</v>
      </c>
      <c r="C33" s="123">
        <f>ROUNDUP(C47/50,0)</f>
        <v>1</v>
      </c>
      <c r="D33" s="124">
        <f>ROUNDUP(C33,0)</f>
        <v>1</v>
      </c>
      <c r="E33" s="12"/>
      <c r="F33" s="12"/>
      <c r="G33" s="12"/>
      <c r="H33" s="12"/>
    </row>
    <row r="34" spans="1:8" x14ac:dyDescent="0.2">
      <c r="A34" s="15"/>
      <c r="B34" s="6"/>
    </row>
    <row r="35" spans="1:8" ht="42" customHeight="1" x14ac:dyDescent="0.2">
      <c r="A35" s="126" t="s">
        <v>98</v>
      </c>
      <c r="B35" s="126"/>
      <c r="C35" s="126"/>
      <c r="D35" s="126"/>
      <c r="E35" s="126"/>
      <c r="F35" s="126"/>
      <c r="G35" s="126"/>
      <c r="H35" s="126"/>
    </row>
    <row r="36" spans="1:8" ht="30.75" x14ac:dyDescent="0.25">
      <c r="A36" s="9" t="s">
        <v>3</v>
      </c>
      <c r="B36" s="10" t="s">
        <v>85</v>
      </c>
      <c r="C36" s="10" t="s">
        <v>4</v>
      </c>
      <c r="D36" s="10" t="s">
        <v>35</v>
      </c>
      <c r="E36" s="136" t="s">
        <v>86</v>
      </c>
      <c r="F36" s="137"/>
      <c r="G36" s="137"/>
      <c r="H36" s="137"/>
    </row>
    <row r="37" spans="1:8" ht="18" customHeight="1" x14ac:dyDescent="0.2">
      <c r="A37" s="25" t="s">
        <v>47</v>
      </c>
      <c r="B37" s="99">
        <v>0.35</v>
      </c>
      <c r="C37" s="29">
        <f>D19*50</f>
        <v>2400</v>
      </c>
      <c r="D37" s="48">
        <f>C37*B37</f>
        <v>840</v>
      </c>
      <c r="F37" s="101"/>
      <c r="G37" s="101"/>
      <c r="H37" s="101"/>
    </row>
    <row r="38" spans="1:8" x14ac:dyDescent="0.2">
      <c r="A38" s="2" t="s">
        <v>46</v>
      </c>
      <c r="B38" s="99">
        <v>0.6</v>
      </c>
      <c r="C38" s="29">
        <f>D20*50</f>
        <v>1050</v>
      </c>
      <c r="D38" s="49">
        <f>C38*B38</f>
        <v>630</v>
      </c>
      <c r="E38" s="100"/>
      <c r="F38" s="101"/>
      <c r="G38" s="101"/>
      <c r="H38" s="101"/>
    </row>
    <row r="39" spans="1:8" x14ac:dyDescent="0.2">
      <c r="A39" s="16" t="s">
        <v>50</v>
      </c>
      <c r="B39" s="59">
        <v>2.31</v>
      </c>
      <c r="C39" s="29">
        <f>F21*50</f>
        <v>200</v>
      </c>
      <c r="D39" s="50">
        <f>C39*B39</f>
        <v>462</v>
      </c>
    </row>
    <row r="40" spans="1:8" ht="13.5" thickBot="1" x14ac:dyDescent="0.25">
      <c r="A40" s="16" t="s">
        <v>48</v>
      </c>
      <c r="B40" s="59">
        <v>1.95</v>
      </c>
      <c r="C40" s="29">
        <f>E22*40</f>
        <v>120</v>
      </c>
      <c r="D40" s="50">
        <f>C40*B40</f>
        <v>234</v>
      </c>
    </row>
    <row r="41" spans="1:8" ht="13.5" thickBot="1" x14ac:dyDescent="0.25">
      <c r="A41" s="130" t="s">
        <v>67</v>
      </c>
      <c r="B41" s="131"/>
      <c r="C41" s="131"/>
      <c r="D41" s="57">
        <f>SUM(D37:D40)</f>
        <v>2166</v>
      </c>
    </row>
    <row r="42" spans="1:8" x14ac:dyDescent="0.2">
      <c r="A42" s="43" t="s">
        <v>36</v>
      </c>
      <c r="B42" s="44" t="s">
        <v>34</v>
      </c>
      <c r="C42" s="44" t="s">
        <v>37</v>
      </c>
      <c r="D42" s="56" t="s">
        <v>35</v>
      </c>
    </row>
    <row r="43" spans="1:8" x14ac:dyDescent="0.2">
      <c r="A43" s="45" t="s">
        <v>15</v>
      </c>
      <c r="B43" s="46">
        <v>0.06</v>
      </c>
      <c r="C43" s="29">
        <f>F29*2000</f>
        <v>6000</v>
      </c>
      <c r="D43" s="51">
        <f>C43*B43</f>
        <v>360</v>
      </c>
    </row>
    <row r="44" spans="1:8" x14ac:dyDescent="0.2">
      <c r="A44" s="45" t="s">
        <v>9</v>
      </c>
      <c r="B44" s="47">
        <v>0.93</v>
      </c>
      <c r="C44" s="29">
        <f>E30*15</f>
        <v>120</v>
      </c>
      <c r="D44" s="51">
        <f>C44*B44</f>
        <v>111.60000000000001</v>
      </c>
    </row>
    <row r="45" spans="1:8" x14ac:dyDescent="0.2">
      <c r="A45" s="45" t="s">
        <v>39</v>
      </c>
      <c r="B45" s="47">
        <f>5/100</f>
        <v>0.05</v>
      </c>
      <c r="C45" s="29">
        <f>G31*100</f>
        <v>100</v>
      </c>
      <c r="D45" s="51">
        <f>C45*B45</f>
        <v>5</v>
      </c>
    </row>
    <row r="46" spans="1:8" x14ac:dyDescent="0.2">
      <c r="A46" s="45" t="s">
        <v>40</v>
      </c>
      <c r="B46" s="47">
        <v>1.74</v>
      </c>
      <c r="C46" s="29">
        <f>ROUNDUP(B61/(75/33),0)</f>
        <v>2</v>
      </c>
      <c r="D46" s="51">
        <f>C46*B46</f>
        <v>3.48</v>
      </c>
      <c r="E46" s="122" t="s">
        <v>96</v>
      </c>
    </row>
    <row r="47" spans="1:8" ht="13.5" thickBot="1" x14ac:dyDescent="0.25">
      <c r="A47" s="58" t="s">
        <v>52</v>
      </c>
      <c r="B47" s="59">
        <v>9.6</v>
      </c>
      <c r="C47" s="60">
        <f>ROUNDUP(B61/10,0)</f>
        <v>1</v>
      </c>
      <c r="D47" s="61">
        <f>C47*B47</f>
        <v>9.6</v>
      </c>
      <c r="E47" s="122" t="s">
        <v>97</v>
      </c>
    </row>
    <row r="48" spans="1:8" ht="13.5" thickBot="1" x14ac:dyDescent="0.25">
      <c r="A48" s="127" t="s">
        <v>44</v>
      </c>
      <c r="B48" s="128"/>
      <c r="C48" s="129"/>
      <c r="D48" s="57">
        <f>SUM(D43:D47)</f>
        <v>489.68000000000006</v>
      </c>
    </row>
    <row r="49" spans="1:9" ht="9" customHeight="1" thickBot="1" x14ac:dyDescent="0.25">
      <c r="A49" s="15"/>
      <c r="B49" s="15"/>
      <c r="C49" s="17"/>
      <c r="D49" s="52"/>
    </row>
    <row r="50" spans="1:9" ht="13.5" thickBot="1" x14ac:dyDescent="0.25">
      <c r="A50" s="130" t="s">
        <v>38</v>
      </c>
      <c r="B50" s="131"/>
      <c r="C50" s="131"/>
      <c r="D50" s="62">
        <f>D41+D48</f>
        <v>2655.6800000000003</v>
      </c>
    </row>
    <row r="51" spans="1:9" s="42" customFormat="1" ht="15" customHeight="1" x14ac:dyDescent="0.2">
      <c r="A51" s="33"/>
      <c r="B51" s="33"/>
      <c r="C51" s="33"/>
      <c r="D51" s="53"/>
    </row>
    <row r="52" spans="1:9" ht="38.25" customHeight="1" x14ac:dyDescent="0.2">
      <c r="A52" s="140" t="s">
        <v>51</v>
      </c>
      <c r="B52" s="140"/>
      <c r="C52" s="140"/>
      <c r="D52" s="48">
        <f>D50/B14</f>
        <v>0.10622720000000001</v>
      </c>
      <c r="E52" s="138" t="s">
        <v>101</v>
      </c>
      <c r="F52" s="139"/>
      <c r="G52" s="139"/>
      <c r="H52" s="139"/>
      <c r="I52" s="139"/>
    </row>
    <row r="53" spans="1:9" ht="4.5" customHeight="1" x14ac:dyDescent="0.2">
      <c r="A53" s="20"/>
      <c r="B53" s="20"/>
      <c r="C53" s="20"/>
      <c r="D53" s="54"/>
      <c r="G53" s="18"/>
      <c r="H53" s="19"/>
      <c r="I53" s="15"/>
    </row>
    <row r="54" spans="1:9" ht="8.25" customHeight="1" x14ac:dyDescent="0.2">
      <c r="G54" s="18"/>
      <c r="H54" s="19"/>
      <c r="I54" s="15"/>
    </row>
    <row r="55" spans="1:9" ht="28.5" customHeight="1" x14ac:dyDescent="0.2">
      <c r="A55" s="132" t="s">
        <v>100</v>
      </c>
      <c r="B55" s="133"/>
      <c r="C55" s="134"/>
      <c r="D55" s="55">
        <f>B14*0.25</f>
        <v>6250</v>
      </c>
      <c r="G55" s="18"/>
      <c r="H55" s="19"/>
      <c r="I55" s="15"/>
    </row>
    <row r="56" spans="1:9" x14ac:dyDescent="0.2">
      <c r="A56" s="20"/>
      <c r="B56" s="20"/>
      <c r="C56" s="20"/>
      <c r="D56" s="21"/>
      <c r="G56" s="18"/>
      <c r="H56" s="19"/>
      <c r="I56" s="15"/>
    </row>
    <row r="57" spans="1:9" ht="25.5" customHeight="1" x14ac:dyDescent="0.2">
      <c r="A57" s="36" t="s">
        <v>66</v>
      </c>
      <c r="B57" s="36"/>
      <c r="C57" s="36"/>
      <c r="D57" s="36"/>
      <c r="E57" s="36"/>
      <c r="F57" s="36"/>
      <c r="G57" s="36"/>
      <c r="H57" s="36"/>
    </row>
    <row r="58" spans="1:9" x14ac:dyDescent="0.2">
      <c r="A58" s="9" t="s">
        <v>2</v>
      </c>
      <c r="B58" s="9" t="s">
        <v>25</v>
      </c>
    </row>
    <row r="59" spans="1:9" x14ac:dyDescent="0.2">
      <c r="A59" s="22" t="s">
        <v>0</v>
      </c>
      <c r="B59" s="23">
        <f>B14/6</f>
        <v>4166.666666666667</v>
      </c>
    </row>
    <row r="60" spans="1:9" x14ac:dyDescent="0.2">
      <c r="A60" s="22" t="s">
        <v>1</v>
      </c>
      <c r="B60" s="23">
        <f>B14/216</f>
        <v>115.74074074074075</v>
      </c>
    </row>
    <row r="61" spans="1:9" x14ac:dyDescent="0.2">
      <c r="A61" s="22" t="s">
        <v>71</v>
      </c>
      <c r="B61" s="125">
        <f>B14/7128</f>
        <v>3.5072951739618405</v>
      </c>
    </row>
    <row r="62" spans="1:9" x14ac:dyDescent="0.2">
      <c r="A62" s="22" t="s">
        <v>24</v>
      </c>
      <c r="B62" s="24">
        <f>B14/285120</f>
        <v>8.7682379349046019E-2</v>
      </c>
    </row>
    <row r="64" spans="1:9" ht="25.5" customHeight="1" x14ac:dyDescent="0.2">
      <c r="A64" s="36" t="s">
        <v>70</v>
      </c>
      <c r="B64" s="36"/>
      <c r="C64" s="36"/>
      <c r="D64" s="36"/>
      <c r="E64" s="36"/>
      <c r="F64" s="36"/>
      <c r="G64" s="36"/>
      <c r="H64" s="36"/>
    </row>
    <row r="66" spans="1:3" ht="25.5" x14ac:dyDescent="0.2">
      <c r="A66" s="106"/>
      <c r="B66" s="107" t="s">
        <v>68</v>
      </c>
    </row>
    <row r="67" spans="1:3" x14ac:dyDescent="0.2">
      <c r="A67" s="142" t="s">
        <v>90</v>
      </c>
      <c r="B67" s="143"/>
      <c r="C67" s="103"/>
    </row>
    <row r="68" spans="1:3" x14ac:dyDescent="0.2">
      <c r="A68" s="108" t="s">
        <v>47</v>
      </c>
      <c r="B68" s="109">
        <f>ROUNDUP(D19,0)*50</f>
        <v>2400</v>
      </c>
    </row>
    <row r="69" spans="1:3" x14ac:dyDescent="0.2">
      <c r="A69" s="110" t="s">
        <v>46</v>
      </c>
      <c r="B69" s="109">
        <f>ROUNDUP(D20,0)*50</f>
        <v>1050</v>
      </c>
    </row>
    <row r="70" spans="1:3" x14ac:dyDescent="0.2">
      <c r="A70" s="111" t="s">
        <v>50</v>
      </c>
      <c r="B70" s="109">
        <f>ROUNDUP(F21,0)*50</f>
        <v>200</v>
      </c>
    </row>
    <row r="71" spans="1:3" x14ac:dyDescent="0.2">
      <c r="A71" s="111" t="s">
        <v>48</v>
      </c>
      <c r="B71" s="109">
        <f>ROUNDUP(E22,0)*40</f>
        <v>120</v>
      </c>
    </row>
    <row r="72" spans="1:3" x14ac:dyDescent="0.2">
      <c r="A72" s="112" t="s">
        <v>15</v>
      </c>
      <c r="B72" s="109">
        <f>ROUNDUP(F29,1)*29</f>
        <v>87</v>
      </c>
    </row>
    <row r="73" spans="1:3" x14ac:dyDescent="0.2">
      <c r="A73" s="112" t="s">
        <v>9</v>
      </c>
      <c r="B73" s="109">
        <f>ROUNDUP(E30,1)*22</f>
        <v>176</v>
      </c>
    </row>
    <row r="74" spans="1:3" x14ac:dyDescent="0.2">
      <c r="A74" s="112" t="s">
        <v>39</v>
      </c>
      <c r="B74" s="109">
        <f>ROUNDUP(G31,1)*0.5</f>
        <v>0.5</v>
      </c>
    </row>
    <row r="75" spans="1:3" x14ac:dyDescent="0.2">
      <c r="A75" s="112" t="s">
        <v>40</v>
      </c>
      <c r="B75" s="109">
        <f>ROUNDUP(D32,1)*(4/6)</f>
        <v>1.3333333333333333</v>
      </c>
    </row>
    <row r="76" spans="1:3" x14ac:dyDescent="0.2">
      <c r="A76" s="112" t="s">
        <v>52</v>
      </c>
      <c r="B76" s="109">
        <f>ROUNDUP(D33,1)*9</f>
        <v>9</v>
      </c>
    </row>
    <row r="77" spans="1:3" x14ac:dyDescent="0.2">
      <c r="A77" s="106"/>
      <c r="B77" s="113">
        <f>SUM(B68:B76)</f>
        <v>4043.8333333333335</v>
      </c>
    </row>
    <row r="78" spans="1:3" ht="13.5" thickBot="1" x14ac:dyDescent="0.25"/>
    <row r="79" spans="1:3" ht="13.5" thickBot="1" x14ac:dyDescent="0.25">
      <c r="A79" s="105" t="s">
        <v>69</v>
      </c>
      <c r="B79" s="115"/>
    </row>
    <row r="80" spans="1:3" ht="13.5" thickBot="1" x14ac:dyDescent="0.25"/>
    <row r="81" spans="1:2" ht="13.5" thickBot="1" x14ac:dyDescent="0.25">
      <c r="A81" s="72" t="s">
        <v>88</v>
      </c>
      <c r="B81" s="73">
        <f>B77+(B79*40)</f>
        <v>4043.8333333333335</v>
      </c>
    </row>
  </sheetData>
  <mergeCells count="54">
    <mergeCell ref="A67:B67"/>
    <mergeCell ref="D27:H27"/>
    <mergeCell ref="A1:H1"/>
    <mergeCell ref="A2:H2"/>
    <mergeCell ref="D5:H5"/>
    <mergeCell ref="F6:H6"/>
    <mergeCell ref="C14:H14"/>
    <mergeCell ref="F7:H7"/>
    <mergeCell ref="F8:H8"/>
    <mergeCell ref="A4:H4"/>
    <mergeCell ref="A9:H9"/>
    <mergeCell ref="A25:H25"/>
    <mergeCell ref="BU9:CB9"/>
    <mergeCell ref="CC9:CJ9"/>
    <mergeCell ref="IO9:IV9"/>
    <mergeCell ref="GC9:GJ9"/>
    <mergeCell ref="GK9:GR9"/>
    <mergeCell ref="GS9:GZ9"/>
    <mergeCell ref="HA9:HH9"/>
    <mergeCell ref="HY9:IF9"/>
    <mergeCell ref="HI9:HP9"/>
    <mergeCell ref="IG9:IN9"/>
    <mergeCell ref="HQ9:HX9"/>
    <mergeCell ref="FM9:FT9"/>
    <mergeCell ref="FU9:GB9"/>
    <mergeCell ref="CK9:CR9"/>
    <mergeCell ref="CS9:CZ9"/>
    <mergeCell ref="DA9:DH9"/>
    <mergeCell ref="DI9:DP9"/>
    <mergeCell ref="DQ9:DX9"/>
    <mergeCell ref="DY9:EF9"/>
    <mergeCell ref="EG9:EN9"/>
    <mergeCell ref="EO9:EV9"/>
    <mergeCell ref="EW9:FD9"/>
    <mergeCell ref="FE9:FL9"/>
    <mergeCell ref="BE9:BL9"/>
    <mergeCell ref="BM9:BT9"/>
    <mergeCell ref="A55:C55"/>
    <mergeCell ref="D17:H17"/>
    <mergeCell ref="A41:C41"/>
    <mergeCell ref="E36:H36"/>
    <mergeCell ref="A35:H35"/>
    <mergeCell ref="E52:I52"/>
    <mergeCell ref="A52:C52"/>
    <mergeCell ref="Q9:X9"/>
    <mergeCell ref="Y9:AF9"/>
    <mergeCell ref="I9:P9"/>
    <mergeCell ref="A13:H13"/>
    <mergeCell ref="A16:H16"/>
    <mergeCell ref="AG9:AN9"/>
    <mergeCell ref="A48:C48"/>
    <mergeCell ref="A50:C50"/>
    <mergeCell ref="AO9:AV9"/>
    <mergeCell ref="AW9:BD9"/>
  </mergeCells>
  <phoneticPr fontId="2" type="noConversion"/>
  <pageMargins left="0.75" right="0.5" top="0.75" bottom="0.5" header="0.25" footer="0.25"/>
  <pageSetup scale="80" orientation="portrait" horizontalDpi="355" verticalDpi="464"/>
  <headerFooter alignWithMargins="0">
    <oddHeader>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15"/>
  <sheetViews>
    <sheetView workbookViewId="0">
      <selection activeCell="B7" sqref="B7:D7"/>
    </sheetView>
  </sheetViews>
  <sheetFormatPr defaultColWidth="8.85546875" defaultRowHeight="12.75" x14ac:dyDescent="0.2"/>
  <cols>
    <col min="1" max="1" width="33.42578125" bestFit="1" customWidth="1"/>
    <col min="2" max="2" width="12.140625" customWidth="1"/>
    <col min="3" max="3" width="10.42578125" customWidth="1"/>
    <col min="4" max="4" width="12.7109375" bestFit="1" customWidth="1"/>
    <col min="5" max="5" width="13" customWidth="1"/>
    <col min="6" max="6" width="12.85546875" customWidth="1"/>
    <col min="7" max="7" width="12.7109375" customWidth="1"/>
    <col min="8" max="8" width="13.140625" customWidth="1"/>
    <col min="9" max="9" width="14.42578125" customWidth="1"/>
    <col min="10" max="10" width="17.140625" customWidth="1"/>
    <col min="11" max="13" width="5.7109375" customWidth="1"/>
  </cols>
  <sheetData>
    <row r="1" spans="1:10" ht="15" x14ac:dyDescent="0.25">
      <c r="A1" s="63" t="s">
        <v>16</v>
      </c>
      <c r="B1" s="151" t="s">
        <v>17</v>
      </c>
      <c r="C1" s="151"/>
      <c r="D1" s="151"/>
      <c r="E1" s="152" t="s">
        <v>19</v>
      </c>
      <c r="F1" s="153"/>
      <c r="G1" s="153"/>
      <c r="H1" s="154" t="s">
        <v>20</v>
      </c>
      <c r="I1" s="154"/>
      <c r="J1" s="154"/>
    </row>
    <row r="2" spans="1:10" ht="29.25" x14ac:dyDescent="0.25">
      <c r="A2" s="64" t="s">
        <v>11</v>
      </c>
      <c r="B2" s="116" t="s">
        <v>6</v>
      </c>
      <c r="C2" s="116" t="s">
        <v>55</v>
      </c>
      <c r="D2" s="116" t="s">
        <v>49</v>
      </c>
      <c r="E2" s="117" t="s">
        <v>6</v>
      </c>
      <c r="F2" s="117" t="s">
        <v>55</v>
      </c>
      <c r="G2" s="117" t="s">
        <v>49</v>
      </c>
      <c r="H2" s="65" t="s">
        <v>6</v>
      </c>
      <c r="I2" s="65" t="s">
        <v>55</v>
      </c>
      <c r="J2" s="65" t="s">
        <v>49</v>
      </c>
    </row>
    <row r="3" spans="1:10" ht="14.25" x14ac:dyDescent="0.2">
      <c r="A3" s="66" t="s">
        <v>47</v>
      </c>
      <c r="B3" s="118">
        <v>29</v>
      </c>
      <c r="C3" s="119"/>
      <c r="D3" s="119"/>
      <c r="E3" s="118">
        <v>10</v>
      </c>
      <c r="F3" s="119"/>
      <c r="G3" s="119"/>
      <c r="H3" s="67">
        <f>E3-B3</f>
        <v>-19</v>
      </c>
      <c r="I3" s="68"/>
      <c r="J3" s="68"/>
    </row>
    <row r="4" spans="1:10" ht="14.25" x14ac:dyDescent="0.2">
      <c r="A4" s="66" t="s">
        <v>46</v>
      </c>
      <c r="B4" s="118">
        <v>35</v>
      </c>
      <c r="C4" s="119"/>
      <c r="D4" s="119"/>
      <c r="E4" s="118">
        <v>16</v>
      </c>
      <c r="F4" s="119"/>
      <c r="G4" s="119"/>
      <c r="H4" s="67">
        <f>E4-B4</f>
        <v>-19</v>
      </c>
      <c r="I4" s="68"/>
      <c r="J4" s="68"/>
    </row>
    <row r="5" spans="1:10" ht="14.25" x14ac:dyDescent="0.2">
      <c r="A5" s="66" t="s">
        <v>48</v>
      </c>
      <c r="B5" s="119"/>
      <c r="C5" s="118">
        <v>1</v>
      </c>
      <c r="D5" s="119"/>
      <c r="E5" s="119"/>
      <c r="F5" s="118">
        <v>2</v>
      </c>
      <c r="G5" s="119"/>
      <c r="H5" s="68"/>
      <c r="I5" s="67">
        <f>F5-C5</f>
        <v>1</v>
      </c>
      <c r="J5" s="68"/>
    </row>
    <row r="6" spans="1:10" ht="14.25" x14ac:dyDescent="0.2">
      <c r="A6" s="66" t="s">
        <v>50</v>
      </c>
      <c r="B6" s="119"/>
      <c r="C6" s="119"/>
      <c r="D6" s="118">
        <v>5</v>
      </c>
      <c r="E6" s="119"/>
      <c r="F6" s="119"/>
      <c r="G6" s="118">
        <v>3</v>
      </c>
      <c r="H6" s="68"/>
      <c r="I6" s="68"/>
      <c r="J6" s="67">
        <f>G6-D6</f>
        <v>-2</v>
      </c>
    </row>
    <row r="7" spans="1:10" ht="15" x14ac:dyDescent="0.25">
      <c r="A7" s="69"/>
      <c r="B7" s="151" t="s">
        <v>17</v>
      </c>
      <c r="C7" s="151"/>
      <c r="D7" s="151"/>
      <c r="E7" s="152" t="s">
        <v>19</v>
      </c>
      <c r="F7" s="153"/>
      <c r="G7" s="153"/>
      <c r="H7" s="154" t="s">
        <v>20</v>
      </c>
      <c r="I7" s="154"/>
      <c r="J7" s="154"/>
    </row>
    <row r="8" spans="1:10" ht="29.25" x14ac:dyDescent="0.25">
      <c r="A8" s="70" t="s">
        <v>12</v>
      </c>
      <c r="B8" s="116" t="s">
        <v>7</v>
      </c>
      <c r="C8" s="116" t="s">
        <v>13</v>
      </c>
      <c r="D8" s="116" t="s">
        <v>14</v>
      </c>
      <c r="E8" s="117" t="s">
        <v>7</v>
      </c>
      <c r="F8" s="117" t="s">
        <v>13</v>
      </c>
      <c r="G8" s="117" t="s">
        <v>14</v>
      </c>
      <c r="H8" s="65" t="s">
        <v>7</v>
      </c>
      <c r="I8" s="65" t="s">
        <v>13</v>
      </c>
      <c r="J8" s="65" t="s">
        <v>14</v>
      </c>
    </row>
    <row r="9" spans="1:10" ht="14.25" x14ac:dyDescent="0.2">
      <c r="A9" s="66" t="s">
        <v>15</v>
      </c>
      <c r="B9" s="118">
        <v>4</v>
      </c>
      <c r="C9" s="119"/>
      <c r="D9" s="119"/>
      <c r="E9" s="118">
        <v>8</v>
      </c>
      <c r="F9" s="119"/>
      <c r="G9" s="119"/>
      <c r="H9" s="67">
        <f>E9-B9</f>
        <v>4</v>
      </c>
      <c r="I9" s="68"/>
      <c r="J9" s="68"/>
    </row>
    <row r="10" spans="1:10" ht="14.25" x14ac:dyDescent="0.2">
      <c r="A10" s="66" t="s">
        <v>9</v>
      </c>
      <c r="B10" s="119"/>
      <c r="C10" s="118">
        <v>10</v>
      </c>
      <c r="D10" s="119"/>
      <c r="E10" s="119"/>
      <c r="F10" s="118">
        <v>7</v>
      </c>
      <c r="G10" s="119"/>
      <c r="H10" s="68"/>
      <c r="I10" s="67">
        <f>F10-C10</f>
        <v>-3</v>
      </c>
      <c r="J10" s="68"/>
    </row>
    <row r="11" spans="1:10" ht="14.25" x14ac:dyDescent="0.2">
      <c r="A11" s="71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4.25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4.25" x14ac:dyDescent="0.2">
      <c r="A13" s="155" t="s">
        <v>22</v>
      </c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4.25" x14ac:dyDescent="0.2">
      <c r="A14" s="155" t="s">
        <v>18</v>
      </c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4.25" x14ac:dyDescent="0.2">
      <c r="A15" s="155" t="s">
        <v>21</v>
      </c>
      <c r="B15" s="155"/>
      <c r="C15" s="155"/>
      <c r="D15" s="155"/>
      <c r="E15" s="155"/>
      <c r="F15" s="155"/>
      <c r="G15" s="155"/>
      <c r="H15" s="155"/>
      <c r="I15" s="155"/>
      <c r="J15" s="155"/>
    </row>
  </sheetData>
  <sheetProtection sheet="1"/>
  <mergeCells count="9">
    <mergeCell ref="B1:D1"/>
    <mergeCell ref="E1:G1"/>
    <mergeCell ref="H1:J1"/>
    <mergeCell ref="A14:J14"/>
    <mergeCell ref="A15:J15"/>
    <mergeCell ref="B7:D7"/>
    <mergeCell ref="E7:G7"/>
    <mergeCell ref="H7:J7"/>
    <mergeCell ref="A13:J13"/>
  </mergeCells>
  <phoneticPr fontId="2" type="noConversion"/>
  <pageMargins left="0.75" right="0.75" top="1" bottom="1" header="0.5" footer="0.5"/>
  <pageSetup orientation="portrait" horizontalDpi="355" verticalDpi="46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workbookViewId="0">
      <selection activeCell="B6" sqref="B6"/>
    </sheetView>
  </sheetViews>
  <sheetFormatPr defaultColWidth="15.42578125" defaultRowHeight="12.75" x14ac:dyDescent="0.2"/>
  <cols>
    <col min="1" max="1" width="20" customWidth="1"/>
    <col min="2" max="2" width="15.42578125" customWidth="1"/>
    <col min="3" max="3" width="17.42578125" customWidth="1"/>
    <col min="4" max="4" width="18" customWidth="1"/>
    <col min="5" max="5" width="17.42578125" customWidth="1"/>
  </cols>
  <sheetData>
    <row r="1" spans="1:7" x14ac:dyDescent="0.2">
      <c r="F1" s="74"/>
    </row>
    <row r="2" spans="1:7" ht="15.75" x14ac:dyDescent="0.25">
      <c r="A2" s="156" t="s">
        <v>73</v>
      </c>
      <c r="B2" s="156"/>
      <c r="C2" s="156"/>
      <c r="D2" s="156"/>
      <c r="E2" s="156"/>
      <c r="F2" s="156"/>
    </row>
    <row r="3" spans="1:7" ht="13.5" thickBot="1" x14ac:dyDescent="0.25"/>
    <row r="4" spans="1:7" ht="51.75" thickBot="1" x14ac:dyDescent="0.25">
      <c r="A4" s="91" t="s">
        <v>78</v>
      </c>
      <c r="B4" s="75" t="s">
        <v>74</v>
      </c>
      <c r="C4" s="75" t="s">
        <v>75</v>
      </c>
      <c r="D4" s="75" t="s">
        <v>83</v>
      </c>
      <c r="E4" s="75" t="s">
        <v>76</v>
      </c>
      <c r="F4" s="76" t="s">
        <v>77</v>
      </c>
    </row>
    <row r="5" spans="1:7" x14ac:dyDescent="0.2">
      <c r="A5" s="77" t="s">
        <v>47</v>
      </c>
      <c r="B5" s="78">
        <f>'Packaging calculator'!B19</f>
        <v>9.17</v>
      </c>
      <c r="C5" s="79">
        <v>50</v>
      </c>
      <c r="D5" s="79">
        <f>C5*16</f>
        <v>800</v>
      </c>
      <c r="E5" s="93">
        <f>D5/B5</f>
        <v>87.241003271537622</v>
      </c>
      <c r="F5" s="80">
        <f>E5*6</f>
        <v>523.4460196292257</v>
      </c>
      <c r="G5" s="1" t="s">
        <v>79</v>
      </c>
    </row>
    <row r="6" spans="1:7" x14ac:dyDescent="0.2">
      <c r="A6" s="81" t="s">
        <v>46</v>
      </c>
      <c r="B6" s="82">
        <f>'Packaging calculator'!B20</f>
        <v>3.9</v>
      </c>
      <c r="C6" s="83">
        <v>50</v>
      </c>
      <c r="D6" s="83">
        <f>C6*16</f>
        <v>800</v>
      </c>
      <c r="E6" s="94">
        <f>D6/B6</f>
        <v>205.12820512820514</v>
      </c>
      <c r="F6" s="84">
        <f>E6*6</f>
        <v>1230.7692307692309</v>
      </c>
      <c r="G6" s="1" t="s">
        <v>80</v>
      </c>
    </row>
    <row r="7" spans="1:7" x14ac:dyDescent="0.2">
      <c r="A7" s="81" t="s">
        <v>50</v>
      </c>
      <c r="B7" s="82">
        <f>'Packaging calculator'!B21</f>
        <v>0.71</v>
      </c>
      <c r="C7" s="83">
        <v>50</v>
      </c>
      <c r="D7" s="83">
        <f>C7*16</f>
        <v>800</v>
      </c>
      <c r="E7" s="94">
        <f>D7/B7</f>
        <v>1126.7605633802818</v>
      </c>
      <c r="F7" s="84">
        <f>E7*6</f>
        <v>6760.563380281691</v>
      </c>
      <c r="G7" s="1" t="s">
        <v>81</v>
      </c>
    </row>
    <row r="8" spans="1:7" ht="13.5" thickBot="1" x14ac:dyDescent="0.25">
      <c r="A8" s="85" t="s">
        <v>48</v>
      </c>
      <c r="B8" s="86">
        <f>'Packaging calculator'!B22</f>
        <v>0.38</v>
      </c>
      <c r="C8" s="87">
        <v>40</v>
      </c>
      <c r="D8" s="87">
        <f>C8*16</f>
        <v>640</v>
      </c>
      <c r="E8" s="95">
        <f>D8/B8</f>
        <v>1684.2105263157894</v>
      </c>
      <c r="F8" s="88">
        <f>E8*6</f>
        <v>10105.263157894737</v>
      </c>
      <c r="G8" s="34" t="s">
        <v>82</v>
      </c>
    </row>
    <row r="9" spans="1:7" x14ac:dyDescent="0.2">
      <c r="A9" s="89"/>
      <c r="B9" s="90">
        <f>SUM(B5:B8)</f>
        <v>14.160000000000002</v>
      </c>
      <c r="C9" s="97"/>
      <c r="D9" s="98"/>
      <c r="E9" s="96"/>
      <c r="F9" s="96"/>
      <c r="G9" s="92"/>
    </row>
    <row r="10" spans="1:7" x14ac:dyDescent="0.2">
      <c r="C10" s="92"/>
      <c r="D10" s="92"/>
      <c r="E10" s="92"/>
      <c r="F10" s="92"/>
    </row>
    <row r="11" spans="1:7" x14ac:dyDescent="0.2">
      <c r="C11" s="92"/>
      <c r="D11" s="92"/>
      <c r="E11" s="92"/>
      <c r="F11" s="92"/>
    </row>
    <row r="12" spans="1:7" x14ac:dyDescent="0.2">
      <c r="C12" s="92"/>
      <c r="D12" s="92"/>
      <c r="E12" s="92"/>
      <c r="F12" s="92"/>
    </row>
    <row r="13" spans="1:7" x14ac:dyDescent="0.2">
      <c r="C13" s="92"/>
      <c r="D13" s="92"/>
      <c r="E13" s="92"/>
      <c r="F13" s="92"/>
    </row>
  </sheetData>
  <sheetProtection sheet="1"/>
  <mergeCells count="1">
    <mergeCell ref="A2:F2"/>
  </mergeCells>
  <phoneticPr fontId="2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Packaging calculator</vt:lpstr>
      <vt:lpstr>Inventory Planner</vt:lpstr>
      <vt:lpstr>Meals per bag</vt:lpstr>
    </vt:vector>
  </TitlesOfParts>
  <Company>Feeding Children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Jones</dc:creator>
  <cp:lastModifiedBy>Nick Yaksich</cp:lastModifiedBy>
  <cp:lastPrinted>2012-11-30T21:38:47Z</cp:lastPrinted>
  <dcterms:created xsi:type="dcterms:W3CDTF">2005-09-28T18:26:42Z</dcterms:created>
  <dcterms:modified xsi:type="dcterms:W3CDTF">2017-05-18T20:05:13Z</dcterms:modified>
</cp:coreProperties>
</file>